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oeosc365-my.sharepoint.com/personal/dave_mccarthy_science_doe_gov/Documents/Desktop/"/>
    </mc:Choice>
  </mc:AlternateContent>
  <xr:revisionPtr revIDLastSave="183" documentId="11_3A9C8D8D9CDAD2E948E16191AFDFC32A5BBA1B45" xr6:coauthVersionLast="47" xr6:coauthVersionMax="47" xr10:uidLastSave="{E74C428F-6F31-410E-B330-72487146C0BF}"/>
  <bookViews>
    <workbookView xWindow="28680" yWindow="285" windowWidth="25440" windowHeight="15270" tabRatio="713" activeTab="1" xr2:uid="{00000000-000D-0000-FFFF-FFFF00000000}"/>
  </bookViews>
  <sheets>
    <sheet name="At Startup" sheetId="4" r:id="rId1"/>
    <sheet name="Angel Round Analysis - Simple" sheetId="5" r:id="rId2"/>
    <sheet name="A Round Analysis - Simple" sheetId="7" r:id="rId3"/>
    <sheet name="Seed, A Analysis - Actual" sheetId="3" r:id="rId4"/>
    <sheet name="IRR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4" l="1"/>
  <c r="E2" i="4" s="1"/>
  <c r="B10" i="4"/>
  <c r="E25" i="3"/>
  <c r="B4" i="4"/>
  <c r="B15" i="3"/>
  <c r="B23" i="3" l="1"/>
  <c r="B10" i="7" l="1"/>
  <c r="B9" i="5"/>
  <c r="B6" i="5" l="1"/>
  <c r="C2" i="5" l="1"/>
  <c r="E2" i="5" s="1"/>
  <c r="C5" i="5" s="1"/>
  <c r="E11" i="3"/>
  <c r="C29" i="3"/>
  <c r="D29" i="3"/>
  <c r="B29" i="3"/>
  <c r="C28" i="3"/>
  <c r="D28" i="3"/>
  <c r="B28" i="3"/>
  <c r="C23" i="3"/>
  <c r="D23" i="3"/>
  <c r="D18" i="3"/>
  <c r="C18" i="3"/>
  <c r="B18" i="3"/>
  <c r="D30" i="3" l="1"/>
  <c r="C30" i="3"/>
  <c r="B20" i="3" l="1"/>
  <c r="B19" i="3" l="1"/>
  <c r="A28" i="3"/>
  <c r="A29" i="3"/>
  <c r="B30" i="3" l="1"/>
  <c r="B24" i="3"/>
  <c r="C14" i="3" l="1"/>
  <c r="D14" i="3" s="1"/>
  <c r="C12" i="3"/>
  <c r="C24" i="3"/>
  <c r="C20" i="3" l="1"/>
  <c r="D12" i="3"/>
  <c r="D24" i="3"/>
  <c r="C15" i="3"/>
  <c r="C16" i="3" s="1"/>
  <c r="C17" i="3" s="1"/>
  <c r="C19" i="3" s="1"/>
  <c r="C25" i="3" s="1"/>
  <c r="C31" i="3" s="1"/>
  <c r="B16" i="3"/>
  <c r="B25" i="3" l="1"/>
  <c r="B31" i="3" s="1"/>
  <c r="B17" i="3"/>
  <c r="D20" i="3"/>
  <c r="D19" i="3" s="1"/>
  <c r="D25" i="3" s="1"/>
  <c r="D31" i="3" s="1"/>
  <c r="D32" i="3" s="1"/>
  <c r="D15" i="3"/>
  <c r="D16" i="3" s="1"/>
  <c r="D17" i="3" s="1"/>
  <c r="B32" i="3"/>
  <c r="C32" i="3"/>
  <c r="C33" i="3" s="1"/>
  <c r="E20" i="3" l="1"/>
  <c r="E32" i="3"/>
  <c r="D45" i="3"/>
  <c r="D41" i="3"/>
  <c r="D39" i="3"/>
  <c r="D44" i="3"/>
  <c r="D36" i="3"/>
  <c r="D33" i="3"/>
  <c r="C45" i="3"/>
  <c r="C37" i="3"/>
  <c r="C40" i="3" s="1"/>
  <c r="B33" i="3"/>
  <c r="B37" i="3"/>
  <c r="B40" i="3"/>
  <c r="B45" i="3"/>
  <c r="D47" i="3" l="1"/>
  <c r="E45" i="3"/>
  <c r="E40" i="3"/>
  <c r="E37" i="3"/>
  <c r="B39" i="3"/>
  <c r="B47" i="3" s="1"/>
  <c r="B9" i="2" l="1"/>
  <c r="B10" i="2" s="1"/>
  <c r="E39" i="3"/>
  <c r="C38" i="3" l="1"/>
  <c r="E38" i="3" s="1"/>
  <c r="C41" i="3"/>
  <c r="E41" i="3"/>
  <c r="C42" i="3"/>
  <c r="E42" i="3"/>
  <c r="C43" i="3"/>
  <c r="E43" i="3" s="1"/>
  <c r="C44" i="3"/>
  <c r="E44" i="3" s="1"/>
  <c r="C36" i="3"/>
  <c r="E36" i="3" s="1"/>
  <c r="E47" i="3" l="1"/>
  <c r="C47" i="3"/>
  <c r="E5" i="7" l="1"/>
  <c r="C5" i="7" s="1"/>
  <c r="B12" i="7" l="1"/>
  <c r="B11" i="5"/>
  <c r="C2" i="7" s="1"/>
  <c r="B10" i="5"/>
  <c r="B11" i="7" s="1"/>
  <c r="B13" i="7" s="1"/>
  <c r="E5" i="5"/>
  <c r="C6" i="5"/>
  <c r="E6" i="5" s="1"/>
  <c r="C10" i="5" l="1"/>
  <c r="B17" i="5" s="1"/>
  <c r="C9" i="5"/>
  <c r="C10" i="7"/>
  <c r="B18" i="7" s="1"/>
  <c r="C11" i="7"/>
  <c r="B19" i="7" s="1"/>
  <c r="C12" i="7"/>
  <c r="B20" i="7" s="1"/>
  <c r="B2" i="7"/>
  <c r="B6" i="7" s="1"/>
  <c r="C6" i="7"/>
  <c r="E6" i="7" l="1"/>
  <c r="C11" i="5"/>
  <c r="B16" i="5"/>
</calcChain>
</file>

<file path=xl/sharedStrings.xml><?xml version="1.0" encoding="utf-8"?>
<sst xmlns="http://schemas.openxmlformats.org/spreadsheetml/2006/main" count="104" uniqueCount="80">
  <si>
    <t>discount</t>
  </si>
  <si>
    <t>Series A Valuation</t>
  </si>
  <si>
    <t xml:space="preserve">Series A Money </t>
  </si>
  <si>
    <t>Spore 1</t>
  </si>
  <si>
    <t>Post Money Valuation</t>
  </si>
  <si>
    <t xml:space="preserve">Cash out </t>
  </si>
  <si>
    <t>invested capital</t>
  </si>
  <si>
    <t>Post Money % owned</t>
  </si>
  <si>
    <t>Spore 2</t>
  </si>
  <si>
    <t>variables effecting outcomes</t>
  </si>
  <si>
    <t>Pre Money Share Valuation</t>
  </si>
  <si>
    <t>Assuming dilution at Series A</t>
  </si>
  <si>
    <t>Exit</t>
  </si>
  <si>
    <t>Series A Money</t>
  </si>
  <si>
    <t>Company Shares O/S at Conversion - *</t>
  </si>
  <si>
    <t>converting share price - *</t>
  </si>
  <si>
    <t>discounted share price - *</t>
  </si>
  <si>
    <t>shares purchased - *</t>
  </si>
  <si>
    <t>* - TBD at time of conversion</t>
  </si>
  <si>
    <t>SaaS Multiple on sales at Exit</t>
  </si>
  <si>
    <t>Potential Payouts</t>
  </si>
  <si>
    <t>Spores SubTotals</t>
  </si>
  <si>
    <t>Cash Out Valuation of Bossa Nova</t>
  </si>
  <si>
    <t>Pre Money % owned</t>
  </si>
  <si>
    <t>Year in</t>
  </si>
  <si>
    <t>Year out</t>
  </si>
  <si>
    <t>IRR analysis</t>
  </si>
  <si>
    <t>Investment</t>
  </si>
  <si>
    <t>year 1</t>
  </si>
  <si>
    <t>year 2</t>
  </si>
  <si>
    <t>year 3</t>
  </si>
  <si>
    <t>Valuation</t>
  </si>
  <si>
    <t>Total Outsanding</t>
  </si>
  <si>
    <t>Multiple (X)</t>
  </si>
  <si>
    <t>Spore 3</t>
  </si>
  <si>
    <t>Raise</t>
  </si>
  <si>
    <t>Pre-Money Valuation</t>
  </si>
  <si>
    <t>Post-Money Valuation</t>
  </si>
  <si>
    <t>Angel Ownership</t>
  </si>
  <si>
    <t>A Round Ownership</t>
  </si>
  <si>
    <t xml:space="preserve"> cash out - should match cash out above</t>
  </si>
  <si>
    <t>Founder(s)' cash out</t>
  </si>
  <si>
    <t>Founder(s)' ownership</t>
  </si>
  <si>
    <t>Angel cash out</t>
  </si>
  <si>
    <t>A round cash out</t>
  </si>
  <si>
    <t>TTM Sales Contracts at exit</t>
  </si>
  <si>
    <t>Total Outstanding</t>
  </si>
  <si>
    <t>Angels' cash out</t>
  </si>
  <si>
    <t>Angel 1</t>
  </si>
  <si>
    <t>Angel 2</t>
  </si>
  <si>
    <t>Angel 3</t>
  </si>
  <si>
    <t>Angel 4</t>
  </si>
  <si>
    <t>Angel 5</t>
  </si>
  <si>
    <t>Angel 6</t>
  </si>
  <si>
    <t>Angel 7</t>
  </si>
  <si>
    <t>Angel 8</t>
  </si>
  <si>
    <t>Angel 9</t>
  </si>
  <si>
    <t>Angel 10</t>
  </si>
  <si>
    <t>$/shr</t>
  </si>
  <si>
    <t>year 4</t>
  </si>
  <si>
    <t>year 5</t>
  </si>
  <si>
    <t>year 6</t>
  </si>
  <si>
    <t>year 7</t>
  </si>
  <si>
    <t>Seed Round Raise</t>
  </si>
  <si>
    <t>Whoa!! This must go up, or else losing money at exit</t>
  </si>
  <si>
    <t>great news, right .1667 to .800</t>
  </si>
  <si>
    <t>Whoa!! This must REALLY go up, or else losing money at exit</t>
  </si>
  <si>
    <t>Pre Money</t>
  </si>
  <si>
    <t>Post Money Cap Table</t>
  </si>
  <si>
    <t>The Raise</t>
  </si>
  <si>
    <t>Total Spores</t>
  </si>
  <si>
    <t>Pre Money Ownership (angels' perspective)</t>
  </si>
  <si>
    <t>Series A Pre Money Valuation</t>
  </si>
  <si>
    <t>Do founders math????</t>
  </si>
  <si>
    <t>Founder(s)' ownership shares</t>
  </si>
  <si>
    <t>Total Outstanding shares</t>
  </si>
  <si>
    <t>At exit, a projected value // date //probability</t>
  </si>
  <si>
    <t>At exit, a projected value // date //probability …</t>
  </si>
  <si>
    <t>(ended up being 2022)</t>
  </si>
  <si>
    <t>SAFE cap 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</si>
</sst>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_);_(&quot;$&quot;* \(#,##0.000\);_(&quot;$&quot;* &quot;-&quot;??_);_(@_)"/>
    <numFmt numFmtId="166" formatCode="_(&quot;$&quot;* #,##0.0000_);_(&quot;$&quot;* \(#,##0.00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9" fontId="0" fillId="0" borderId="0" xfId="3" applyFont="1"/>
    <xf numFmtId="44" fontId="0" fillId="0" borderId="0" xfId="2" applyFont="1"/>
    <xf numFmtId="44" fontId="0" fillId="0" borderId="0" xfId="0" applyNumberFormat="1"/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44" fontId="0" fillId="0" borderId="0" xfId="2" applyFont="1" applyAlignment="1">
      <alignment horizontal="center"/>
    </xf>
    <xf numFmtId="165" fontId="0" fillId="0" borderId="0" xfId="0" applyNumberFormat="1"/>
    <xf numFmtId="44" fontId="0" fillId="0" borderId="0" xfId="2" applyFont="1" applyFill="1"/>
    <xf numFmtId="0" fontId="0" fillId="3" borderId="0" xfId="0" applyFill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0" fillId="0" borderId="0" xfId="1" applyFont="1" applyFill="1"/>
    <xf numFmtId="0" fontId="2" fillId="0" borderId="0" xfId="0" applyFont="1" applyAlignment="1">
      <alignment horizontal="center"/>
    </xf>
    <xf numFmtId="9" fontId="0" fillId="0" borderId="0" xfId="0" applyNumberFormat="1"/>
    <xf numFmtId="165" fontId="0" fillId="0" borderId="0" xfId="2" applyNumberFormat="1" applyFont="1"/>
    <xf numFmtId="166" fontId="0" fillId="0" borderId="0" xfId="0" applyNumberFormat="1"/>
    <xf numFmtId="166" fontId="0" fillId="0" borderId="0" xfId="2" applyNumberFormat="1" applyFont="1"/>
    <xf numFmtId="0" fontId="0" fillId="4" borderId="0" xfId="0" applyFill="1"/>
    <xf numFmtId="9" fontId="0" fillId="2" borderId="0" xfId="3" applyFont="1" applyFill="1"/>
    <xf numFmtId="44" fontId="0" fillId="0" borderId="0" xfId="2" applyFont="1" applyFill="1" applyAlignment="1">
      <alignment horizontal="center"/>
    </xf>
    <xf numFmtId="10" fontId="0" fillId="2" borderId="0" xfId="3" applyNumberFormat="1" applyFont="1" applyFill="1"/>
    <xf numFmtId="44" fontId="0" fillId="2" borderId="0" xfId="2" applyFont="1" applyFill="1"/>
    <xf numFmtId="43" fontId="0" fillId="2" borderId="0" xfId="1" applyFont="1" applyFill="1"/>
    <xf numFmtId="0" fontId="0" fillId="2" borderId="0" xfId="1" applyNumberFormat="1" applyFont="1" applyFill="1"/>
    <xf numFmtId="10" fontId="0" fillId="0" borderId="0" xfId="0" applyNumberFormat="1"/>
    <xf numFmtId="10" fontId="0" fillId="0" borderId="0" xfId="3" applyNumberFormat="1" applyFont="1"/>
    <xf numFmtId="164" fontId="0" fillId="0" borderId="0" xfId="1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zoomScale="160" zoomScaleNormal="160" workbookViewId="0">
      <selection activeCell="B10" sqref="B10"/>
    </sheetView>
  </sheetViews>
  <sheetFormatPr defaultRowHeight="14.5" x14ac:dyDescent="0.35"/>
  <cols>
    <col min="1" max="1" width="28.81640625" bestFit="1" customWidth="1"/>
    <col min="2" max="2" width="15.26953125" bestFit="1" customWidth="1"/>
    <col min="3" max="3" width="13.81640625" bestFit="1" customWidth="1"/>
  </cols>
  <sheetData>
    <row r="1" spans="1:6" s="19" customFormat="1" x14ac:dyDescent="0.35">
      <c r="A1" s="19" t="s">
        <v>67</v>
      </c>
    </row>
    <row r="2" spans="1:6" x14ac:dyDescent="0.35">
      <c r="A2" t="s">
        <v>36</v>
      </c>
      <c r="B2" s="2">
        <v>2000000</v>
      </c>
      <c r="C2" s="5">
        <f>'At Startup'!B3</f>
        <v>1000000</v>
      </c>
      <c r="E2" s="17">
        <f>B2/C2</f>
        <v>2</v>
      </c>
      <c r="F2" t="s">
        <v>58</v>
      </c>
    </row>
    <row r="3" spans="1:6" x14ac:dyDescent="0.35">
      <c r="A3" t="s">
        <v>74</v>
      </c>
      <c r="B3" s="5">
        <v>1000000</v>
      </c>
      <c r="C3" s="20">
        <v>1</v>
      </c>
    </row>
    <row r="4" spans="1:6" x14ac:dyDescent="0.35">
      <c r="A4" t="s">
        <v>75</v>
      </c>
      <c r="B4" s="6">
        <f>SUM(B3:B3)</f>
        <v>1000000</v>
      </c>
    </row>
    <row r="8" spans="1:6" s="19" customFormat="1" x14ac:dyDescent="0.35">
      <c r="A8" s="19" t="s">
        <v>76</v>
      </c>
    </row>
    <row r="9" spans="1:6" x14ac:dyDescent="0.35">
      <c r="A9" t="s">
        <v>31</v>
      </c>
      <c r="B9" s="2">
        <v>50000000</v>
      </c>
    </row>
    <row r="10" spans="1:6" x14ac:dyDescent="0.35">
      <c r="A10" t="s">
        <v>41</v>
      </c>
      <c r="B10" s="3">
        <f>B9</f>
        <v>50000000</v>
      </c>
    </row>
    <row r="15" spans="1:6" x14ac:dyDescent="0.35">
      <c r="B1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tabSelected="1" zoomScale="145" zoomScaleNormal="145" workbookViewId="0">
      <selection activeCell="B15" sqref="B15"/>
    </sheetView>
  </sheetViews>
  <sheetFormatPr defaultRowHeight="14.5" x14ac:dyDescent="0.35"/>
  <cols>
    <col min="1" max="1" width="22.26953125" bestFit="1" customWidth="1"/>
    <col min="2" max="2" width="16.7265625" customWidth="1"/>
    <col min="3" max="3" width="14.54296875" style="5" customWidth="1"/>
    <col min="5" max="5" width="9.6328125" bestFit="1" customWidth="1"/>
  </cols>
  <sheetData>
    <row r="1" spans="1:6" s="19" customFormat="1" x14ac:dyDescent="0.35">
      <c r="A1" s="19" t="s">
        <v>67</v>
      </c>
    </row>
    <row r="2" spans="1:6" x14ac:dyDescent="0.35">
      <c r="A2" t="s">
        <v>36</v>
      </c>
      <c r="B2" s="2">
        <v>10000000</v>
      </c>
      <c r="C2" s="5">
        <f>'At Startup'!B3</f>
        <v>1000000</v>
      </c>
      <c r="E2" s="17">
        <f>B2/C2</f>
        <v>10</v>
      </c>
      <c r="F2" t="s">
        <v>58</v>
      </c>
    </row>
    <row r="3" spans="1:6" x14ac:dyDescent="0.35">
      <c r="B3" s="2"/>
    </row>
    <row r="4" spans="1:6" s="19" customFormat="1" x14ac:dyDescent="0.35">
      <c r="A4" s="19" t="s">
        <v>69</v>
      </c>
    </row>
    <row r="5" spans="1:6" x14ac:dyDescent="0.35">
      <c r="A5" t="s">
        <v>63</v>
      </c>
      <c r="B5" s="2">
        <v>2500000</v>
      </c>
      <c r="C5" s="5">
        <f>B5/E2</f>
        <v>250000</v>
      </c>
      <c r="E5" s="18">
        <f>B5/C5</f>
        <v>10</v>
      </c>
      <c r="F5" t="s">
        <v>58</v>
      </c>
    </row>
    <row r="6" spans="1:6" x14ac:dyDescent="0.35">
      <c r="A6" t="s">
        <v>37</v>
      </c>
      <c r="B6" s="3">
        <f>SUM(B2:B5)</f>
        <v>12500000</v>
      </c>
      <c r="C6" s="5">
        <f>SUM(C2:C5)</f>
        <v>1250000</v>
      </c>
      <c r="E6" s="18">
        <f>B6/C6</f>
        <v>10</v>
      </c>
      <c r="F6" t="s">
        <v>58</v>
      </c>
    </row>
    <row r="8" spans="1:6" s="19" customFormat="1" x14ac:dyDescent="0.35">
      <c r="A8" s="19" t="s">
        <v>68</v>
      </c>
    </row>
    <row r="9" spans="1:6" x14ac:dyDescent="0.35">
      <c r="A9" t="s">
        <v>42</v>
      </c>
      <c r="B9" s="5">
        <f>'At Startup'!B3</f>
        <v>1000000</v>
      </c>
      <c r="C9" s="20">
        <f>B9/B11</f>
        <v>0.8</v>
      </c>
    </row>
    <row r="10" spans="1:6" x14ac:dyDescent="0.35">
      <c r="A10" t="s">
        <v>38</v>
      </c>
      <c r="B10" s="28">
        <f>C5</f>
        <v>250000</v>
      </c>
      <c r="C10" s="20">
        <f>B10/B11</f>
        <v>0.2</v>
      </c>
    </row>
    <row r="11" spans="1:6" x14ac:dyDescent="0.35">
      <c r="A11" t="s">
        <v>46</v>
      </c>
      <c r="B11" s="6">
        <f>SUM(B9:B10)</f>
        <v>1250000</v>
      </c>
      <c r="C11" s="20">
        <f>SUM(C9:C10)</f>
        <v>1</v>
      </c>
    </row>
    <row r="14" spans="1:6" s="19" customFormat="1" x14ac:dyDescent="0.35">
      <c r="A14" s="19" t="s">
        <v>77</v>
      </c>
    </row>
    <row r="15" spans="1:6" x14ac:dyDescent="0.35">
      <c r="A15" t="s">
        <v>31</v>
      </c>
      <c r="B15" s="2">
        <v>75000000</v>
      </c>
      <c r="C15" t="s">
        <v>64</v>
      </c>
    </row>
    <row r="16" spans="1:6" x14ac:dyDescent="0.35">
      <c r="A16" t="s">
        <v>41</v>
      </c>
      <c r="B16" s="3">
        <f>B15*C9</f>
        <v>60000000</v>
      </c>
      <c r="C16"/>
    </row>
    <row r="17" spans="1:3" x14ac:dyDescent="0.35">
      <c r="A17" t="s">
        <v>47</v>
      </c>
      <c r="B17" s="2">
        <f>B15*C10</f>
        <v>15000000</v>
      </c>
      <c r="C1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zoomScale="130" zoomScaleNormal="130" workbookViewId="0">
      <selection activeCell="C24" sqref="C24"/>
    </sheetView>
  </sheetViews>
  <sheetFormatPr defaultRowHeight="14.5" x14ac:dyDescent="0.35"/>
  <cols>
    <col min="1" max="1" width="22.26953125" customWidth="1"/>
    <col min="2" max="2" width="16.7265625" customWidth="1"/>
    <col min="3" max="3" width="14.54296875" style="5" customWidth="1"/>
    <col min="5" max="5" width="9.90625" bestFit="1" customWidth="1"/>
  </cols>
  <sheetData>
    <row r="1" spans="1:7" s="19" customFormat="1" x14ac:dyDescent="0.35">
      <c r="A1" s="19" t="s">
        <v>67</v>
      </c>
    </row>
    <row r="2" spans="1:7" x14ac:dyDescent="0.35">
      <c r="A2" t="s">
        <v>36</v>
      </c>
      <c r="B2" s="2">
        <f>C2*E2</f>
        <v>25000000</v>
      </c>
      <c r="C2" s="5">
        <f>'Angel Round Analysis - Simple'!B11</f>
        <v>1250000</v>
      </c>
      <c r="E2" s="17">
        <v>20</v>
      </c>
      <c r="F2" t="s">
        <v>58</v>
      </c>
      <c r="G2" t="s">
        <v>65</v>
      </c>
    </row>
    <row r="3" spans="1:7" x14ac:dyDescent="0.35">
      <c r="B3" s="2"/>
    </row>
    <row r="4" spans="1:7" s="19" customFormat="1" x14ac:dyDescent="0.35">
      <c r="A4" s="19" t="s">
        <v>69</v>
      </c>
    </row>
    <row r="5" spans="1:7" x14ac:dyDescent="0.35">
      <c r="A5" t="s">
        <v>35</v>
      </c>
      <c r="B5" s="2">
        <v>6000000</v>
      </c>
      <c r="C5" s="5">
        <f>B5/E5</f>
        <v>300000</v>
      </c>
      <c r="E5" s="18">
        <f>E2</f>
        <v>20</v>
      </c>
      <c r="F5" t="s">
        <v>58</v>
      </c>
    </row>
    <row r="6" spans="1:7" x14ac:dyDescent="0.35">
      <c r="A6" t="s">
        <v>37</v>
      </c>
      <c r="B6" s="3">
        <f>SUM(B2:B5)</f>
        <v>31000000</v>
      </c>
      <c r="C6" s="5">
        <f>SUM(C2:C5)</f>
        <v>1550000</v>
      </c>
      <c r="E6" s="18">
        <f>B6/C6</f>
        <v>20</v>
      </c>
      <c r="F6" t="s">
        <v>58</v>
      </c>
    </row>
    <row r="9" spans="1:7" s="19" customFormat="1" x14ac:dyDescent="0.35">
      <c r="A9" s="19" t="s">
        <v>68</v>
      </c>
    </row>
    <row r="10" spans="1:7" x14ac:dyDescent="0.35">
      <c r="A10" t="s">
        <v>42</v>
      </c>
      <c r="B10" s="5">
        <f>'At Startup'!B3</f>
        <v>1000000</v>
      </c>
      <c r="C10" s="20">
        <f>B10/B13</f>
        <v>0.64516129032258063</v>
      </c>
    </row>
    <row r="11" spans="1:7" x14ac:dyDescent="0.35">
      <c r="A11" t="s">
        <v>38</v>
      </c>
      <c r="B11" s="5">
        <f>'Angel Round Analysis - Simple'!B10</f>
        <v>250000</v>
      </c>
      <c r="C11" s="20">
        <f>B11/B13</f>
        <v>0.16129032258064516</v>
      </c>
    </row>
    <row r="12" spans="1:7" x14ac:dyDescent="0.35">
      <c r="A12" t="s">
        <v>39</v>
      </c>
      <c r="B12" s="5">
        <f>C5</f>
        <v>300000</v>
      </c>
      <c r="C12" s="20">
        <f>B12/B13</f>
        <v>0.19354838709677419</v>
      </c>
    </row>
    <row r="13" spans="1:7" x14ac:dyDescent="0.35">
      <c r="A13" t="s">
        <v>32</v>
      </c>
      <c r="B13" s="6">
        <f>SUM(B10:B12)</f>
        <v>1550000</v>
      </c>
      <c r="C13"/>
    </row>
    <row r="16" spans="1:7" s="19" customFormat="1" x14ac:dyDescent="0.35">
      <c r="A16" s="19" t="s">
        <v>76</v>
      </c>
    </row>
    <row r="17" spans="1:3" x14ac:dyDescent="0.35">
      <c r="A17" t="s">
        <v>31</v>
      </c>
      <c r="B17" s="2">
        <v>50000000</v>
      </c>
      <c r="C17" t="s">
        <v>66</v>
      </c>
    </row>
    <row r="18" spans="1:3" x14ac:dyDescent="0.35">
      <c r="A18" t="s">
        <v>41</v>
      </c>
      <c r="B18" s="3">
        <f>B17*C10</f>
        <v>32258064.516129032</v>
      </c>
      <c r="C18"/>
    </row>
    <row r="19" spans="1:3" x14ac:dyDescent="0.35">
      <c r="A19" t="s">
        <v>43</v>
      </c>
      <c r="B19" s="2">
        <f>B17*C11</f>
        <v>8064516.1290322579</v>
      </c>
      <c r="C19" s="1"/>
    </row>
    <row r="20" spans="1:3" x14ac:dyDescent="0.35">
      <c r="A20" t="s">
        <v>44</v>
      </c>
      <c r="B20" s="3">
        <f>B17*C12</f>
        <v>9677419.3548387103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8"/>
  <sheetViews>
    <sheetView zoomScale="160" zoomScaleNormal="160" workbookViewId="0">
      <selection activeCell="A13" sqref="A13"/>
    </sheetView>
  </sheetViews>
  <sheetFormatPr defaultRowHeight="14.5" x14ac:dyDescent="0.35"/>
  <cols>
    <col min="1" max="1" width="34.81640625" style="11" customWidth="1"/>
    <col min="2" max="4" width="21.81640625" customWidth="1"/>
    <col min="5" max="5" width="24" customWidth="1"/>
    <col min="6" max="6" width="9.1796875" customWidth="1"/>
  </cols>
  <sheetData>
    <row r="1" spans="1:5" s="10" customFormat="1" x14ac:dyDescent="0.35">
      <c r="A1" s="10" t="s">
        <v>9</v>
      </c>
    </row>
    <row r="2" spans="1:5" x14ac:dyDescent="0.35">
      <c r="A2" s="11" t="s">
        <v>45</v>
      </c>
      <c r="B2" s="23">
        <v>5000000</v>
      </c>
    </row>
    <row r="3" spans="1:5" x14ac:dyDescent="0.35">
      <c r="A3" s="11" t="s">
        <v>19</v>
      </c>
      <c r="B3" s="24">
        <v>4</v>
      </c>
      <c r="E3" s="2"/>
    </row>
    <row r="4" spans="1:5" x14ac:dyDescent="0.35">
      <c r="A4" s="11" t="s">
        <v>1</v>
      </c>
      <c r="B4" s="23">
        <v>9500000</v>
      </c>
    </row>
    <row r="5" spans="1:5" x14ac:dyDescent="0.35">
      <c r="A5" s="11" t="s">
        <v>13</v>
      </c>
      <c r="B5" s="23">
        <v>2500000</v>
      </c>
    </row>
    <row r="6" spans="1:5" x14ac:dyDescent="0.35">
      <c r="A6" s="11" t="s">
        <v>24</v>
      </c>
      <c r="B6" s="25">
        <v>2015</v>
      </c>
    </row>
    <row r="7" spans="1:5" x14ac:dyDescent="0.35">
      <c r="A7" s="11" t="s">
        <v>25</v>
      </c>
      <c r="B7" s="25">
        <v>2019</v>
      </c>
      <c r="C7" t="s">
        <v>78</v>
      </c>
    </row>
    <row r="8" spans="1:5" x14ac:dyDescent="0.35">
      <c r="A8" s="11" t="s">
        <v>18</v>
      </c>
    </row>
    <row r="9" spans="1:5" s="10" customFormat="1" x14ac:dyDescent="0.35">
      <c r="A9" s="12" t="s">
        <v>71</v>
      </c>
    </row>
    <row r="10" spans="1:5" s="14" customFormat="1" x14ac:dyDescent="0.35">
      <c r="B10" s="14" t="s">
        <v>3</v>
      </c>
      <c r="C10" s="14" t="s">
        <v>8</v>
      </c>
      <c r="D10" s="14" t="s">
        <v>34</v>
      </c>
      <c r="E10" s="14" t="s">
        <v>70</v>
      </c>
    </row>
    <row r="11" spans="1:5" x14ac:dyDescent="0.35">
      <c r="A11" s="11" t="s">
        <v>6</v>
      </c>
      <c r="B11" s="2">
        <v>105000</v>
      </c>
      <c r="C11" s="9">
        <v>245000</v>
      </c>
      <c r="D11" s="9">
        <v>180000</v>
      </c>
      <c r="E11" s="3">
        <f>SUM(B11:D11)</f>
        <v>530000</v>
      </c>
    </row>
    <row r="12" spans="1:5" x14ac:dyDescent="0.35">
      <c r="A12" s="11" t="s">
        <v>79</v>
      </c>
      <c r="B12" s="2">
        <v>2500000</v>
      </c>
      <c r="C12" s="2">
        <f>B12</f>
        <v>2500000</v>
      </c>
      <c r="D12" s="2">
        <f>C12</f>
        <v>2500000</v>
      </c>
    </row>
    <row r="13" spans="1:5" x14ac:dyDescent="0.35">
      <c r="A13" s="11" t="s">
        <v>0</v>
      </c>
      <c r="B13" s="1">
        <v>0.66</v>
      </c>
      <c r="C13" s="1">
        <v>1</v>
      </c>
      <c r="D13" s="1">
        <v>1</v>
      </c>
    </row>
    <row r="14" spans="1:5" s="6" customFormat="1" x14ac:dyDescent="0.35">
      <c r="A14" s="11" t="s">
        <v>14</v>
      </c>
      <c r="B14" s="5">
        <v>10000000</v>
      </c>
      <c r="C14" s="5">
        <f>B14</f>
        <v>10000000</v>
      </c>
      <c r="D14" s="5">
        <f>C14</f>
        <v>10000000</v>
      </c>
    </row>
    <row r="15" spans="1:5" x14ac:dyDescent="0.35">
      <c r="A15" s="11" t="s">
        <v>15</v>
      </c>
      <c r="B15" s="3">
        <f>B12/B14</f>
        <v>0.25</v>
      </c>
      <c r="C15" s="3">
        <f>C12/C14</f>
        <v>0.25</v>
      </c>
      <c r="D15" s="3">
        <f>D12/D14</f>
        <v>0.25</v>
      </c>
    </row>
    <row r="16" spans="1:5" x14ac:dyDescent="0.35">
      <c r="A16" s="11" t="s">
        <v>16</v>
      </c>
      <c r="B16" s="8">
        <f>B15*B13</f>
        <v>0.16500000000000001</v>
      </c>
      <c r="C16" s="3">
        <f>C15*C13</f>
        <v>0.25</v>
      </c>
      <c r="D16" s="3">
        <f>D15*D13</f>
        <v>0.25</v>
      </c>
    </row>
    <row r="17" spans="1:9" x14ac:dyDescent="0.35">
      <c r="A17" s="11" t="s">
        <v>17</v>
      </c>
      <c r="B17" s="4">
        <f>B11/B16</f>
        <v>636363.63636363635</v>
      </c>
      <c r="C17" s="13">
        <f>C11/C16</f>
        <v>980000</v>
      </c>
      <c r="D17" s="13">
        <f>D11/D16</f>
        <v>720000</v>
      </c>
    </row>
    <row r="18" spans="1:9" x14ac:dyDescent="0.35">
      <c r="A18" s="11" t="s">
        <v>72</v>
      </c>
      <c r="B18" s="9">
        <f>$B$4</f>
        <v>9500000</v>
      </c>
      <c r="C18" s="9">
        <f>$B$4</f>
        <v>9500000</v>
      </c>
      <c r="D18" s="9">
        <f>$B$4</f>
        <v>9500000</v>
      </c>
    </row>
    <row r="19" spans="1:9" x14ac:dyDescent="0.35">
      <c r="A19" s="11" t="s">
        <v>10</v>
      </c>
      <c r="B19" s="2">
        <f>B18*B20</f>
        <v>604545.45454545459</v>
      </c>
      <c r="C19" s="9">
        <f>C18*C20</f>
        <v>931000</v>
      </c>
      <c r="D19" s="9">
        <f>D18*D20</f>
        <v>684000</v>
      </c>
    </row>
    <row r="20" spans="1:9" x14ac:dyDescent="0.35">
      <c r="A20" s="11" t="s">
        <v>23</v>
      </c>
      <c r="B20" s="22">
        <f>(B11/B12)/B13</f>
        <v>6.3636363636363644E-2</v>
      </c>
      <c r="C20" s="22">
        <f>(C11/C12)/C13</f>
        <v>9.8000000000000004E-2</v>
      </c>
      <c r="D20" s="22">
        <f>(D11/D12)/D13</f>
        <v>7.1999999999999995E-2</v>
      </c>
      <c r="E20" s="26">
        <f>SUM(B20:D20)</f>
        <v>0.23363636363636364</v>
      </c>
      <c r="I20" t="s">
        <v>73</v>
      </c>
    </row>
    <row r="21" spans="1:9" x14ac:dyDescent="0.35">
      <c r="B21" s="27"/>
    </row>
    <row r="22" spans="1:9" s="10" customFormat="1" x14ac:dyDescent="0.35">
      <c r="A22" s="12" t="s">
        <v>11</v>
      </c>
    </row>
    <row r="23" spans="1:9" x14ac:dyDescent="0.35">
      <c r="A23" s="11" t="s">
        <v>2</v>
      </c>
      <c r="B23" s="21">
        <f>$B$5</f>
        <v>2500000</v>
      </c>
      <c r="C23" s="21">
        <f t="shared" ref="C23:D23" si="0">$B$5</f>
        <v>2500000</v>
      </c>
      <c r="D23" s="21">
        <f t="shared" si="0"/>
        <v>2500000</v>
      </c>
    </row>
    <row r="24" spans="1:9" x14ac:dyDescent="0.35">
      <c r="A24" s="11" t="s">
        <v>4</v>
      </c>
      <c r="B24" s="7">
        <f>B23+B18</f>
        <v>12000000</v>
      </c>
      <c r="C24" s="3">
        <f>B24</f>
        <v>12000000</v>
      </c>
      <c r="D24" s="3">
        <f>C24</f>
        <v>12000000</v>
      </c>
    </row>
    <row r="25" spans="1:9" x14ac:dyDescent="0.35">
      <c r="A25" s="11" t="s">
        <v>7</v>
      </c>
      <c r="B25" s="22">
        <f>B19/B24</f>
        <v>5.0378787878787884E-2</v>
      </c>
      <c r="C25" s="22">
        <f>C19/C24</f>
        <v>7.7583333333333337E-2</v>
      </c>
      <c r="D25" s="22">
        <f>D19/D24</f>
        <v>5.7000000000000002E-2</v>
      </c>
      <c r="E25" s="26">
        <f>SUM(B25:D25)</f>
        <v>0.18496212121212122</v>
      </c>
    </row>
    <row r="27" spans="1:9" s="10" customFormat="1" x14ac:dyDescent="0.35">
      <c r="A27" s="12" t="s">
        <v>12</v>
      </c>
    </row>
    <row r="28" spans="1:9" s="2" customFormat="1" x14ac:dyDescent="0.35">
      <c r="A28" s="11" t="str">
        <f>A2</f>
        <v>TTM Sales Contracts at exit</v>
      </c>
      <c r="B28" s="9">
        <f>$B$2</f>
        <v>5000000</v>
      </c>
      <c r="C28" s="9">
        <f t="shared" ref="C28:D28" si="1">$B$2</f>
        <v>5000000</v>
      </c>
      <c r="D28" s="9">
        <f t="shared" si="1"/>
        <v>5000000</v>
      </c>
    </row>
    <row r="29" spans="1:9" s="4" customFormat="1" x14ac:dyDescent="0.35">
      <c r="A29" s="11" t="str">
        <f>A3</f>
        <v>SaaS Multiple on sales at Exit</v>
      </c>
      <c r="B29" s="13">
        <f>$B$3</f>
        <v>4</v>
      </c>
      <c r="C29" s="13">
        <f t="shared" ref="C29:D29" si="2">$B$3</f>
        <v>4</v>
      </c>
      <c r="D29" s="13">
        <f t="shared" si="2"/>
        <v>4</v>
      </c>
    </row>
    <row r="30" spans="1:9" x14ac:dyDescent="0.35">
      <c r="A30" s="11" t="s">
        <v>22</v>
      </c>
      <c r="B30" s="9">
        <f>B29*B28</f>
        <v>20000000</v>
      </c>
      <c r="C30" s="9">
        <f t="shared" ref="C30:D30" si="3">C29*C28</f>
        <v>20000000</v>
      </c>
      <c r="D30" s="9">
        <f t="shared" si="3"/>
        <v>20000000</v>
      </c>
    </row>
    <row r="31" spans="1:9" x14ac:dyDescent="0.35">
      <c r="A31" s="11" t="s">
        <v>7</v>
      </c>
      <c r="B31" s="22">
        <f>IF($B$5=0,B20,B25)</f>
        <v>5.0378787878787884E-2</v>
      </c>
      <c r="C31" s="22">
        <f>IF($B$5=0,C20,C25)</f>
        <v>7.7583333333333337E-2</v>
      </c>
      <c r="D31" s="22">
        <f>IF($B$5=0,D20,D25)</f>
        <v>5.7000000000000002E-2</v>
      </c>
    </row>
    <row r="32" spans="1:9" x14ac:dyDescent="0.35">
      <c r="A32" s="11" t="s">
        <v>5</v>
      </c>
      <c r="B32" s="3">
        <f>B31*B30</f>
        <v>1007575.7575757577</v>
      </c>
      <c r="C32" s="3">
        <f>C31*C30</f>
        <v>1551666.6666666667</v>
      </c>
      <c r="D32" s="3">
        <f>D31*D30</f>
        <v>1140000</v>
      </c>
      <c r="E32" s="3">
        <f>SUM(B32:D32)</f>
        <v>3699242.4242424243</v>
      </c>
    </row>
    <row r="33" spans="1:5" x14ac:dyDescent="0.35">
      <c r="A33" s="11" t="s">
        <v>33</v>
      </c>
      <c r="B33" s="4">
        <f>B32/B11</f>
        <v>9.5959595959595969</v>
      </c>
      <c r="C33" s="4">
        <f>C32/C11</f>
        <v>6.3333333333333339</v>
      </c>
      <c r="D33" s="4">
        <f>D32/D11</f>
        <v>6.333333333333333</v>
      </c>
    </row>
    <row r="34" spans="1:5" x14ac:dyDescent="0.35">
      <c r="B34" s="2"/>
      <c r="C34" s="2"/>
      <c r="D34" s="2"/>
    </row>
    <row r="35" spans="1:5" s="10" customFormat="1" x14ac:dyDescent="0.35">
      <c r="A35" s="12" t="s">
        <v>20</v>
      </c>
      <c r="B35" s="10" t="s">
        <v>3</v>
      </c>
      <c r="C35" s="10" t="s">
        <v>8</v>
      </c>
      <c r="D35" s="10" t="s">
        <v>8</v>
      </c>
      <c r="E35" s="10" t="s">
        <v>21</v>
      </c>
    </row>
    <row r="36" spans="1:5" x14ac:dyDescent="0.35">
      <c r="A36" s="11" t="s">
        <v>48</v>
      </c>
      <c r="C36" s="3">
        <f>$C$45</f>
        <v>212800.06650000002</v>
      </c>
      <c r="D36" s="3">
        <f>65/180*D32</f>
        <v>411666.66666666669</v>
      </c>
      <c r="E36" s="3">
        <f t="shared" ref="E36:E45" si="4">SUM(B36:D36)</f>
        <v>624466.7331666667</v>
      </c>
    </row>
    <row r="37" spans="1:5" x14ac:dyDescent="0.35">
      <c r="A37" s="11" t="s">
        <v>49</v>
      </c>
      <c r="B37" s="3">
        <f>3400/10000*B32</f>
        <v>342575.75757575763</v>
      </c>
      <c r="C37" s="3">
        <f>2000/100000*C32</f>
        <v>31033.333333333336</v>
      </c>
      <c r="D37" s="3">
        <v>0</v>
      </c>
      <c r="E37" s="3">
        <f t="shared" si="4"/>
        <v>373609.09090909094</v>
      </c>
    </row>
    <row r="38" spans="1:5" x14ac:dyDescent="0.35">
      <c r="A38" s="11" t="s">
        <v>50</v>
      </c>
      <c r="C38" s="3">
        <f>$C$45</f>
        <v>212800.06650000002</v>
      </c>
      <c r="D38" s="3">
        <v>0</v>
      </c>
      <c r="E38" s="3">
        <f t="shared" si="4"/>
        <v>212800.06650000002</v>
      </c>
    </row>
    <row r="39" spans="1:5" x14ac:dyDescent="0.35">
      <c r="A39" s="11" t="s">
        <v>51</v>
      </c>
      <c r="B39" s="3">
        <f>B45</f>
        <v>322424.24242424243</v>
      </c>
      <c r="D39" s="3">
        <f>50/180*D32</f>
        <v>316666.66666666669</v>
      </c>
      <c r="E39" s="3">
        <f t="shared" si="4"/>
        <v>639090.90909090918</v>
      </c>
    </row>
    <row r="40" spans="1:5" x14ac:dyDescent="0.35">
      <c r="A40" s="11" t="s">
        <v>52</v>
      </c>
      <c r="B40" s="3">
        <f>B32*200/10000</f>
        <v>20151.515151515152</v>
      </c>
      <c r="C40" s="3">
        <f>C37</f>
        <v>31033.333333333336</v>
      </c>
      <c r="D40" s="3">
        <v>0</v>
      </c>
      <c r="E40" s="3">
        <f t="shared" si="4"/>
        <v>51184.848484848488</v>
      </c>
    </row>
    <row r="41" spans="1:5" x14ac:dyDescent="0.35">
      <c r="A41" s="11" t="s">
        <v>53</v>
      </c>
      <c r="C41" s="3">
        <f>$C$45</f>
        <v>212800.06650000002</v>
      </c>
      <c r="D41" s="3">
        <f>25/180*D32</f>
        <v>158333.33333333334</v>
      </c>
      <c r="E41" s="3">
        <f t="shared" si="4"/>
        <v>371133.39983333333</v>
      </c>
    </row>
    <row r="42" spans="1:5" x14ac:dyDescent="0.35">
      <c r="A42" s="11" t="s">
        <v>54</v>
      </c>
      <c r="C42" s="3">
        <f>$C$45</f>
        <v>212800.06650000002</v>
      </c>
      <c r="D42" s="3">
        <v>0</v>
      </c>
      <c r="E42" s="3">
        <f t="shared" si="4"/>
        <v>212800.06650000002</v>
      </c>
    </row>
    <row r="43" spans="1:5" x14ac:dyDescent="0.35">
      <c r="A43" s="11" t="s">
        <v>55</v>
      </c>
      <c r="C43" s="3">
        <f>$C$45</f>
        <v>212800.06650000002</v>
      </c>
      <c r="D43" s="3">
        <v>0</v>
      </c>
      <c r="E43" s="3">
        <f t="shared" si="4"/>
        <v>212800.06650000002</v>
      </c>
    </row>
    <row r="44" spans="1:5" x14ac:dyDescent="0.35">
      <c r="A44" s="11" t="s">
        <v>56</v>
      </c>
      <c r="C44" s="3">
        <f>$C$45</f>
        <v>212800.06650000002</v>
      </c>
      <c r="D44" s="3">
        <f>15/180*D32</f>
        <v>95000</v>
      </c>
      <c r="E44" s="3">
        <f t="shared" si="4"/>
        <v>307800.06650000002</v>
      </c>
    </row>
    <row r="45" spans="1:5" x14ac:dyDescent="0.35">
      <c r="A45" s="11" t="s">
        <v>57</v>
      </c>
      <c r="B45" s="3">
        <f>B32*3200/10000</f>
        <v>322424.24242424243</v>
      </c>
      <c r="C45" s="3">
        <f>13714.29/100000*C32</f>
        <v>212800.06650000002</v>
      </c>
      <c r="D45" s="3">
        <f>25/180*D32</f>
        <v>158333.33333333334</v>
      </c>
      <c r="E45" s="3">
        <f t="shared" si="4"/>
        <v>693557.64225757576</v>
      </c>
    </row>
    <row r="47" spans="1:5" x14ac:dyDescent="0.35">
      <c r="A47" s="11" t="s">
        <v>40</v>
      </c>
      <c r="B47" s="2">
        <f>SUM(B36:B46)</f>
        <v>1007575.7575757576</v>
      </c>
      <c r="C47" s="2">
        <f t="shared" ref="C47:D47" si="5">SUM(C36:C46)</f>
        <v>1551667.1321666667</v>
      </c>
      <c r="D47" s="2">
        <f t="shared" si="5"/>
        <v>1140000</v>
      </c>
      <c r="E47" s="3">
        <f>SUM(E36:E46)</f>
        <v>3699242.8897424252</v>
      </c>
    </row>
    <row r="48" spans="1:5" x14ac:dyDescent="0.35">
      <c r="E48" s="3"/>
    </row>
  </sheetData>
  <pageMargins left="0.7" right="0.7" top="0.75" bottom="0.75" header="0.3" footer="0.3"/>
  <pageSetup scale="7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workbookViewId="0">
      <selection activeCell="A12" sqref="A12"/>
    </sheetView>
  </sheetViews>
  <sheetFormatPr defaultRowHeight="14.5" x14ac:dyDescent="0.35"/>
  <cols>
    <col min="1" max="1" width="19.26953125" customWidth="1"/>
    <col min="2" max="2" width="24.1796875" customWidth="1"/>
  </cols>
  <sheetData>
    <row r="1" spans="1:2" x14ac:dyDescent="0.35">
      <c r="A1" s="11" t="s">
        <v>26</v>
      </c>
    </row>
    <row r="2" spans="1:2" x14ac:dyDescent="0.35">
      <c r="A2" s="11" t="s">
        <v>27</v>
      </c>
      <c r="B2" s="3">
        <v>-35000</v>
      </c>
    </row>
    <row r="3" spans="1:2" x14ac:dyDescent="0.35">
      <c r="A3" s="11" t="s">
        <v>28</v>
      </c>
      <c r="B3" s="3">
        <v>0</v>
      </c>
    </row>
    <row r="4" spans="1:2" x14ac:dyDescent="0.35">
      <c r="A4" s="11" t="s">
        <v>29</v>
      </c>
      <c r="B4" s="3">
        <v>0</v>
      </c>
    </row>
    <row r="5" spans="1:2" x14ac:dyDescent="0.35">
      <c r="A5" s="11" t="s">
        <v>30</v>
      </c>
      <c r="B5" s="3">
        <v>0</v>
      </c>
    </row>
    <row r="6" spans="1:2" x14ac:dyDescent="0.35">
      <c r="A6" s="11" t="s">
        <v>59</v>
      </c>
      <c r="B6" s="3">
        <v>0</v>
      </c>
    </row>
    <row r="7" spans="1:2" x14ac:dyDescent="0.35">
      <c r="A7" s="11" t="s">
        <v>60</v>
      </c>
      <c r="B7" s="3">
        <v>0</v>
      </c>
    </row>
    <row r="8" spans="1:2" x14ac:dyDescent="0.35">
      <c r="A8" s="11" t="s">
        <v>61</v>
      </c>
      <c r="B8" s="3">
        <v>0</v>
      </c>
    </row>
    <row r="9" spans="1:2" x14ac:dyDescent="0.35">
      <c r="A9" s="11" t="s">
        <v>62</v>
      </c>
      <c r="B9" s="3">
        <f>'Seed, A Analysis - Actual'!B39</f>
        <v>322424.24242424243</v>
      </c>
    </row>
    <row r="10" spans="1:2" x14ac:dyDescent="0.35">
      <c r="A10" s="11"/>
      <c r="B10" s="15">
        <f>IRR(B2:B9)</f>
        <v>0.37330076945256341</v>
      </c>
    </row>
    <row r="11" spans="1:2" x14ac:dyDescent="0.35">
      <c r="A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 Startup</vt:lpstr>
      <vt:lpstr>Angel Round Analysis - Simple</vt:lpstr>
      <vt:lpstr>A Round Analysis - Simple</vt:lpstr>
      <vt:lpstr>Seed, A Analysis - Actual</vt:lpstr>
      <vt:lpstr>IRR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djmrunfast</dc:creator>
  <cp:lastModifiedBy>McCarthy, Dave</cp:lastModifiedBy>
  <cp:lastPrinted>2016-12-06T17:54:40Z</cp:lastPrinted>
  <dcterms:created xsi:type="dcterms:W3CDTF">2015-11-06T18:59:05Z</dcterms:created>
  <dcterms:modified xsi:type="dcterms:W3CDTF">2024-12-10T18:50:28Z</dcterms:modified>
</cp:coreProperties>
</file>